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0"/>
  </bookViews>
  <sheets>
    <sheet name="Rapport" sheetId="1" r:id="rId1"/>
    <sheet name="tachi" sheetId="2" r:id="rId2"/>
    <sheet name="Vis" sheetId="3" r:id="rId3"/>
    <sheet name="pieces" sheetId="4" r:id="rId4"/>
  </sheets>
  <definedNames>
    <definedName name="_xlnm.Print_Titles" localSheetId="0">'Rapport'!$A:$A</definedName>
    <definedName name="_xlnm.Print_Area" localSheetId="0">'Rapport'!$A$1:$X$11</definedName>
  </definedNames>
  <calcPr fullCalcOnLoad="1"/>
</workbook>
</file>

<file path=xl/sharedStrings.xml><?xml version="1.0" encoding="utf-8"?>
<sst xmlns="http://schemas.openxmlformats.org/spreadsheetml/2006/main" count="139" uniqueCount="71">
  <si>
    <t>1,8 TB</t>
  </si>
  <si>
    <t>giulietta</t>
  </si>
  <si>
    <t>alfetta gtv</t>
  </si>
  <si>
    <t>2,0</t>
  </si>
  <si>
    <t>1,6</t>
  </si>
  <si>
    <t>2,0 TS</t>
  </si>
  <si>
    <t>10/41</t>
  </si>
  <si>
    <t>10/43</t>
  </si>
  <si>
    <t>1982 -</t>
  </si>
  <si>
    <t>1,3</t>
  </si>
  <si>
    <t>9/43</t>
  </si>
  <si>
    <t>1,8</t>
  </si>
  <si>
    <t>11/42</t>
  </si>
  <si>
    <t>9/41</t>
  </si>
  <si>
    <t>1re</t>
  </si>
  <si>
    <t>2e</t>
  </si>
  <si>
    <t>3e</t>
  </si>
  <si>
    <t>4e</t>
  </si>
  <si>
    <t>5e</t>
  </si>
  <si>
    <t>AR</t>
  </si>
  <si>
    <t>Année</t>
  </si>
  <si>
    <t>Cyl</t>
  </si>
  <si>
    <t>Couple</t>
  </si>
  <si>
    <t>Automobile</t>
  </si>
  <si>
    <t>11/43</t>
  </si>
  <si>
    <t>Rapport BV</t>
  </si>
  <si>
    <t>largeur</t>
  </si>
  <si>
    <t>flan</t>
  </si>
  <si>
    <t>Rayon</t>
  </si>
  <si>
    <t>circonférrence</t>
  </si>
  <si>
    <t>valeur admise</t>
  </si>
  <si>
    <t>impulsion par km</t>
  </si>
  <si>
    <t>impulsion par sec</t>
  </si>
  <si>
    <t>interval</t>
  </si>
  <si>
    <t>Roulement demi arbre de roue</t>
  </si>
  <si>
    <t xml:space="preserve">6006 RSR </t>
  </si>
  <si>
    <t>Classe 2</t>
  </si>
  <si>
    <t>13000 tr/min</t>
  </si>
  <si>
    <t>Joint spie demi arbre de roue</t>
  </si>
  <si>
    <t>Joint spie selecteur de vitesse</t>
  </si>
  <si>
    <t>Joint spie arnre primaire de boite</t>
  </si>
  <si>
    <t>Où</t>
  </si>
  <si>
    <t>Type</t>
  </si>
  <si>
    <t>Pas métrique</t>
  </si>
  <si>
    <t>Longueur</t>
  </si>
  <si>
    <t>dureté</t>
  </si>
  <si>
    <t>Quantité</t>
  </si>
  <si>
    <t>Provenance</t>
  </si>
  <si>
    <t>Parallélogramme de Watt</t>
  </si>
  <si>
    <t>TH</t>
  </si>
  <si>
    <t>m10x125</t>
  </si>
  <si>
    <t>Berner</t>
  </si>
  <si>
    <t>Support BV</t>
  </si>
  <si>
    <t>m12x125</t>
  </si>
  <si>
    <t>Alfa</t>
  </si>
  <si>
    <t>M12x175</t>
  </si>
  <si>
    <t>Fermeture carter BV</t>
  </si>
  <si>
    <t>M8x125</t>
  </si>
  <si>
    <t>BV &amp; Support traverse BV</t>
  </si>
  <si>
    <t>CHC</t>
  </si>
  <si>
    <t>Renfort support BV</t>
  </si>
  <si>
    <t>BAR AR</t>
  </si>
  <si>
    <t>Traverse AR / Chassis</t>
  </si>
  <si>
    <t>Flector AR</t>
  </si>
  <si>
    <t>Tours minutes</t>
  </si>
  <si>
    <t>Correction</t>
  </si>
  <si>
    <t>13/40</t>
  </si>
  <si>
    <t>2,4 TD</t>
  </si>
  <si>
    <t>V6</t>
  </si>
  <si>
    <t>11/39</t>
  </si>
  <si>
    <t>2,0 TD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</si>
</sst>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.00"/>
    <numFmt numFmtId="165" formatCode="00.000"/>
    <numFmt numFmtId="166" formatCode="[$-40C]dddd\ d\ mmmm\ yyyy"/>
  </numFmts>
  <fonts count="4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" xfId="0" applyFont="1" applyBorder="1" applyAlignment="1" quotePrefix="1">
      <alignment/>
    </xf>
    <xf numFmtId="0" fontId="1" fillId="0" borderId="2" xfId="0" applyFont="1" applyBorder="1" applyAlignment="1" quotePrefix="1">
      <alignment/>
    </xf>
    <xf numFmtId="164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7" fontId="1" fillId="0" borderId="2" xfId="0" applyNumberFormat="1" applyFont="1" applyBorder="1" applyAlignment="1" quotePrefix="1">
      <alignment/>
    </xf>
    <xf numFmtId="0" fontId="1" fillId="0" borderId="14" xfId="0" applyFont="1" applyBorder="1" applyAlignment="1" quotePrefix="1">
      <alignment/>
    </xf>
    <xf numFmtId="0" fontId="1" fillId="0" borderId="15" xfId="0" applyFont="1" applyBorder="1" applyAlignment="1" quotePrefix="1">
      <alignment/>
    </xf>
    <xf numFmtId="0" fontId="1" fillId="0" borderId="14" xfId="0" applyFont="1" applyBorder="1" applyAlignment="1">
      <alignment/>
    </xf>
    <xf numFmtId="164" fontId="1" fillId="0" borderId="1" xfId="0" applyNumberFormat="1" applyFont="1" applyBorder="1" applyAlignment="1" quotePrefix="1">
      <alignment horizontal="center"/>
    </xf>
    <xf numFmtId="164" fontId="1" fillId="0" borderId="2" xfId="0" applyNumberFormat="1" applyFont="1" applyBorder="1" applyAlignment="1" quotePrefix="1">
      <alignment horizontal="center"/>
    </xf>
    <xf numFmtId="164" fontId="1" fillId="0" borderId="1" xfId="0" applyNumberFormat="1" applyFont="1" applyBorder="1" applyAlignment="1" quotePrefix="1">
      <alignment/>
    </xf>
    <xf numFmtId="164" fontId="1" fillId="0" borderId="2" xfId="0" applyNumberFormat="1" applyFont="1" applyBorder="1" applyAlignment="1" quotePrefix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 quotePrefix="1">
      <alignment/>
    </xf>
    <xf numFmtId="17" fontId="1" fillId="0" borderId="1" xfId="0" applyNumberFormat="1" applyFont="1" applyBorder="1" applyAlignment="1" quotePrefix="1">
      <alignment/>
    </xf>
    <xf numFmtId="0" fontId="1" fillId="0" borderId="14" xfId="0" applyFont="1" applyBorder="1" applyAlignment="1" quotePrefix="1">
      <alignment/>
    </xf>
    <xf numFmtId="0" fontId="1" fillId="0" borderId="15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18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29" xfId="0" applyFont="1" applyBorder="1" applyAlignment="1" quotePrefix="1">
      <alignment/>
    </xf>
    <xf numFmtId="164" fontId="1" fillId="0" borderId="29" xfId="0" applyNumberFormat="1" applyFont="1" applyBorder="1" applyAlignment="1" quotePrefix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33" xfId="0" applyFont="1" applyBorder="1" applyAlignment="1" quotePrefix="1">
      <alignment horizontal="center" vertical="center" wrapText="1"/>
    </xf>
    <xf numFmtId="0" fontId="1" fillId="0" borderId="5" xfId="0" applyFont="1" applyBorder="1" applyAlignment="1" quotePrefix="1">
      <alignment horizontal="center" vertical="center" wrapText="1"/>
    </xf>
    <xf numFmtId="0" fontId="1" fillId="0" borderId="34" xfId="0" applyFont="1" applyBorder="1" applyAlignment="1" quotePrefix="1">
      <alignment horizontal="center" vertical="center" wrapText="1"/>
    </xf>
    <xf numFmtId="0" fontId="1" fillId="0" borderId="3" xfId="0" applyFont="1" applyBorder="1" applyAlignment="1" quotePrefix="1">
      <alignment horizontal="center" vertical="center" wrapText="1"/>
    </xf>
    <xf numFmtId="0" fontId="1" fillId="0" borderId="35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36" xfId="0" applyFont="1" applyBorder="1" applyAlignment="1" quotePrefix="1">
      <alignment/>
    </xf>
    <xf numFmtId="0" fontId="1" fillId="0" borderId="37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165" fontId="1" fillId="0" borderId="5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" xfId="0" applyFont="1" applyBorder="1" applyAlignment="1" quotePrefix="1">
      <alignment/>
    </xf>
    <xf numFmtId="164" fontId="1" fillId="0" borderId="3" xfId="0" applyNumberFormat="1" applyFont="1" applyBorder="1" applyAlignment="1" quotePrefix="1">
      <alignment/>
    </xf>
    <xf numFmtId="164" fontId="1" fillId="0" borderId="38" xfId="0" applyNumberFormat="1" applyFont="1" applyBorder="1" applyAlignment="1">
      <alignment/>
    </xf>
    <xf numFmtId="164" fontId="1" fillId="0" borderId="39" xfId="0" applyNumberFormat="1" applyFont="1" applyBorder="1" applyAlignment="1">
      <alignment/>
    </xf>
    <xf numFmtId="164" fontId="1" fillId="0" borderId="4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workbookViewId="0" topLeftCell="K1">
      <pane ySplit="11" topLeftCell="BM15" activePane="bottomLeft" state="frozen"/>
      <selection pane="topLeft" activeCell="F1" sqref="F1"/>
      <selection pane="bottomLeft" activeCell="S16" sqref="S16"/>
    </sheetView>
  </sheetViews>
  <sheetFormatPr defaultColWidth="11.421875" defaultRowHeight="12.75"/>
  <cols>
    <col min="1" max="1" width="19.421875" style="10" customWidth="1"/>
    <col min="2" max="2" width="14.8515625" style="10" customWidth="1"/>
    <col min="3" max="16384" width="11.421875" style="10" customWidth="1"/>
  </cols>
  <sheetData>
    <row r="1" spans="1:24" ht="15.75" thickBot="1">
      <c r="A1" s="7" t="s">
        <v>23</v>
      </c>
      <c r="B1" s="52" t="s">
        <v>1</v>
      </c>
      <c r="C1" s="52"/>
      <c r="D1" s="52"/>
      <c r="E1" s="52"/>
      <c r="F1" s="52"/>
      <c r="G1" s="52"/>
      <c r="H1" s="52"/>
      <c r="I1" s="52"/>
      <c r="J1" s="53"/>
      <c r="K1" s="54" t="s">
        <v>2</v>
      </c>
      <c r="L1" s="52"/>
      <c r="M1" s="52"/>
      <c r="N1" s="52"/>
      <c r="O1" s="54">
        <v>75</v>
      </c>
      <c r="P1" s="52"/>
      <c r="Q1" s="52"/>
      <c r="R1" s="52"/>
      <c r="S1" s="52"/>
      <c r="T1" s="52"/>
      <c r="U1" s="52"/>
      <c r="V1" s="52"/>
      <c r="W1" s="52"/>
      <c r="X1" s="53"/>
    </row>
    <row r="2" spans="1:24" ht="15.75" thickBot="1">
      <c r="A2" s="8" t="s">
        <v>20</v>
      </c>
      <c r="B2" s="52">
        <v>-1981</v>
      </c>
      <c r="C2" s="52"/>
      <c r="D2" s="52"/>
      <c r="E2" s="52"/>
      <c r="F2" s="53"/>
      <c r="G2" s="54" t="s">
        <v>8</v>
      </c>
      <c r="H2" s="52"/>
      <c r="I2" s="52"/>
      <c r="J2" s="53"/>
      <c r="K2" s="54"/>
      <c r="L2" s="52"/>
      <c r="M2" s="52"/>
      <c r="N2" s="52"/>
      <c r="O2" s="54"/>
      <c r="P2" s="52"/>
      <c r="Q2" s="52"/>
      <c r="R2" s="52"/>
      <c r="S2" s="52"/>
      <c r="T2" s="52"/>
      <c r="U2" s="52"/>
      <c r="V2" s="52"/>
      <c r="W2" s="52"/>
      <c r="X2" s="53"/>
    </row>
    <row r="3" spans="1:24" ht="15" customHeight="1">
      <c r="A3" s="24" t="s">
        <v>21</v>
      </c>
      <c r="B3" s="56" t="s">
        <v>25</v>
      </c>
      <c r="C3" s="27" t="s">
        <v>9</v>
      </c>
      <c r="D3" s="27" t="s">
        <v>4</v>
      </c>
      <c r="E3" s="27" t="s">
        <v>11</v>
      </c>
      <c r="F3" s="28" t="s">
        <v>3</v>
      </c>
      <c r="G3" s="58" t="s">
        <v>25</v>
      </c>
      <c r="H3" s="17" t="s">
        <v>4</v>
      </c>
      <c r="I3" s="17" t="s">
        <v>11</v>
      </c>
      <c r="J3" s="18" t="s">
        <v>3</v>
      </c>
      <c r="K3" s="58" t="s">
        <v>25</v>
      </c>
      <c r="L3" s="17" t="s">
        <v>4</v>
      </c>
      <c r="M3" s="17" t="s">
        <v>11</v>
      </c>
      <c r="N3" s="63" t="s">
        <v>3</v>
      </c>
      <c r="O3" s="69" t="s">
        <v>67</v>
      </c>
      <c r="P3" s="19" t="s">
        <v>70</v>
      </c>
      <c r="Q3" s="19" t="s">
        <v>68</v>
      </c>
      <c r="R3" s="64" t="s">
        <v>25</v>
      </c>
      <c r="S3" s="60"/>
      <c r="T3" s="19" t="s">
        <v>0</v>
      </c>
      <c r="U3" s="17" t="s">
        <v>4</v>
      </c>
      <c r="V3" s="17" t="s">
        <v>11</v>
      </c>
      <c r="W3" s="17" t="s">
        <v>3</v>
      </c>
      <c r="X3" s="18" t="s">
        <v>5</v>
      </c>
    </row>
    <row r="4" spans="1:24" ht="15">
      <c r="A4" s="55" t="s">
        <v>22</v>
      </c>
      <c r="B4" s="57"/>
      <c r="C4" s="25" t="s">
        <v>10</v>
      </c>
      <c r="D4" s="25" t="s">
        <v>7</v>
      </c>
      <c r="E4" s="26" t="s">
        <v>6</v>
      </c>
      <c r="F4" s="16" t="s">
        <v>6</v>
      </c>
      <c r="G4" s="59"/>
      <c r="H4" s="1" t="s">
        <v>12</v>
      </c>
      <c r="I4" s="1" t="s">
        <v>12</v>
      </c>
      <c r="J4" s="2" t="s">
        <v>7</v>
      </c>
      <c r="K4" s="59"/>
      <c r="L4" s="1" t="s">
        <v>7</v>
      </c>
      <c r="M4" s="1" t="s">
        <v>6</v>
      </c>
      <c r="N4" s="50" t="s">
        <v>6</v>
      </c>
      <c r="O4" s="70" t="s">
        <v>66</v>
      </c>
      <c r="P4" s="1" t="s">
        <v>69</v>
      </c>
      <c r="Q4" s="1" t="s">
        <v>69</v>
      </c>
      <c r="R4" s="65"/>
      <c r="S4" s="61"/>
      <c r="T4" s="1" t="s">
        <v>24</v>
      </c>
      <c r="U4" s="1" t="s">
        <v>13</v>
      </c>
      <c r="V4" s="1" t="s">
        <v>7</v>
      </c>
      <c r="W4" s="1" t="s">
        <v>7</v>
      </c>
      <c r="X4" s="2" t="s">
        <v>6</v>
      </c>
    </row>
    <row r="5" spans="1:24" ht="15">
      <c r="A5" s="55"/>
      <c r="B5" s="57"/>
      <c r="C5" s="20">
        <f>43/9</f>
        <v>4.777777777777778</v>
      </c>
      <c r="D5" s="20">
        <f>43/10</f>
        <v>4.3</v>
      </c>
      <c r="E5" s="20">
        <f>41/10</f>
        <v>4.1</v>
      </c>
      <c r="F5" s="21">
        <f>41/10</f>
        <v>4.1</v>
      </c>
      <c r="G5" s="59"/>
      <c r="H5" s="22">
        <f>42/11</f>
        <v>3.8181818181818183</v>
      </c>
      <c r="I5" s="22">
        <f>42/11</f>
        <v>3.8181818181818183</v>
      </c>
      <c r="J5" s="23">
        <f>43/10</f>
        <v>4.3</v>
      </c>
      <c r="K5" s="59"/>
      <c r="L5" s="22">
        <f>43/10</f>
        <v>4.3</v>
      </c>
      <c r="M5" s="22">
        <f>41/10</f>
        <v>4.1</v>
      </c>
      <c r="N5" s="51">
        <f>41/10</f>
        <v>4.1</v>
      </c>
      <c r="O5" s="71">
        <f>40/13</f>
        <v>3.076923076923077</v>
      </c>
      <c r="P5" s="22">
        <f>39/11</f>
        <v>3.5454545454545454</v>
      </c>
      <c r="Q5" s="22">
        <f>39/11</f>
        <v>3.5454545454545454</v>
      </c>
      <c r="R5" s="66"/>
      <c r="S5" s="62"/>
      <c r="T5" s="22">
        <f>43/11</f>
        <v>3.909090909090909</v>
      </c>
      <c r="U5" s="22">
        <f>41/9</f>
        <v>4.555555555555555</v>
      </c>
      <c r="V5" s="22">
        <f>43/10</f>
        <v>4.3</v>
      </c>
      <c r="W5" s="22">
        <f>43/10</f>
        <v>4.3</v>
      </c>
      <c r="X5" s="23">
        <f>41/10</f>
        <v>4.1</v>
      </c>
    </row>
    <row r="6" spans="1:24" ht="15">
      <c r="A6" s="8" t="s">
        <v>14</v>
      </c>
      <c r="B6" s="5">
        <v>3.3</v>
      </c>
      <c r="C6" s="12">
        <f>$B6*C$5</f>
        <v>15.766666666666666</v>
      </c>
      <c r="D6" s="12">
        <f>$B6*D$5</f>
        <v>14.19</v>
      </c>
      <c r="E6" s="12">
        <f>$B6*E$5</f>
        <v>13.529999999999998</v>
      </c>
      <c r="F6" s="13">
        <f>$B6*F$5</f>
        <v>13.529999999999998</v>
      </c>
      <c r="G6" s="3">
        <v>3.5</v>
      </c>
      <c r="H6" s="12">
        <f>$G6*H$5</f>
        <v>13.363636363636363</v>
      </c>
      <c r="I6" s="12">
        <f>$G6*I$5</f>
        <v>13.363636363636363</v>
      </c>
      <c r="J6" s="13">
        <f>$G6*J$5</f>
        <v>15.049999999999999</v>
      </c>
      <c r="K6" s="3">
        <v>3.3</v>
      </c>
      <c r="L6" s="12">
        <f>$K6*L$5</f>
        <v>14.19</v>
      </c>
      <c r="M6" s="12">
        <f>$K6*M$5</f>
        <v>13.529999999999998</v>
      </c>
      <c r="N6" s="33">
        <f>$K6*N$5</f>
        <v>13.529999999999998</v>
      </c>
      <c r="O6" s="72">
        <f>$K6*O$5</f>
        <v>10.153846153846153</v>
      </c>
      <c r="P6" s="33">
        <f>$K6*P$5</f>
        <v>11.7</v>
      </c>
      <c r="Q6" s="74">
        <f>$K6*Q$5</f>
        <v>11.7</v>
      </c>
      <c r="R6" s="67">
        <v>0.3478</v>
      </c>
      <c r="S6" s="35">
        <f aca="true" t="shared" si="0" ref="S6:S11">$T6/$T$5</f>
        <v>2.875215641173088</v>
      </c>
      <c r="T6" s="12">
        <f>T$5/$R6</f>
        <v>11.239479324585707</v>
      </c>
      <c r="U6" s="12">
        <f>U$5/$R6</f>
        <v>13.09820458756629</v>
      </c>
      <c r="V6" s="12">
        <f>V$5/$R6</f>
        <v>12.363427257044277</v>
      </c>
      <c r="W6" s="12">
        <f>W$5/$R6</f>
        <v>12.363427257044277</v>
      </c>
      <c r="X6" s="13">
        <f>X$5/$R6</f>
        <v>11.78838412880966</v>
      </c>
    </row>
    <row r="7" spans="1:24" ht="15">
      <c r="A7" s="8" t="s">
        <v>15</v>
      </c>
      <c r="B7" s="5">
        <v>1.95</v>
      </c>
      <c r="C7" s="12">
        <f aca="true" t="shared" si="1" ref="C7:F11">$B7*C$5</f>
        <v>9.316666666666666</v>
      </c>
      <c r="D7" s="12">
        <f t="shared" si="1"/>
        <v>8.385</v>
      </c>
      <c r="E7" s="12">
        <f t="shared" si="1"/>
        <v>7.994999999999999</v>
      </c>
      <c r="F7" s="13">
        <f t="shared" si="1"/>
        <v>7.994999999999999</v>
      </c>
      <c r="G7" s="3">
        <v>1.95</v>
      </c>
      <c r="H7" s="12">
        <f aca="true" t="shared" si="2" ref="H7:J11">$G7*H$5</f>
        <v>7.445454545454545</v>
      </c>
      <c r="I7" s="12">
        <f t="shared" si="2"/>
        <v>7.445454545454545</v>
      </c>
      <c r="J7" s="13">
        <f t="shared" si="2"/>
        <v>8.385</v>
      </c>
      <c r="K7" s="3">
        <v>2</v>
      </c>
      <c r="L7" s="12">
        <f aca="true" t="shared" si="3" ref="L7:Q11">$K7*L$5</f>
        <v>8.6</v>
      </c>
      <c r="M7" s="12">
        <f t="shared" si="3"/>
        <v>8.2</v>
      </c>
      <c r="N7" s="33">
        <f t="shared" si="3"/>
        <v>8.2</v>
      </c>
      <c r="O7" s="72">
        <f t="shared" si="3"/>
        <v>6.153846153846154</v>
      </c>
      <c r="P7" s="33">
        <f t="shared" si="3"/>
        <v>7.090909090909091</v>
      </c>
      <c r="Q7" s="12">
        <f t="shared" si="3"/>
        <v>7.090909090909091</v>
      </c>
      <c r="R7" s="67">
        <v>0.5813</v>
      </c>
      <c r="S7" s="35">
        <f t="shared" si="0"/>
        <v>1.720282126268708</v>
      </c>
      <c r="T7" s="12">
        <f aca="true" t="shared" si="4" ref="T7:X11">T$5/$R7</f>
        <v>6.724739220868586</v>
      </c>
      <c r="U7" s="12">
        <f t="shared" si="4"/>
        <v>7.836840797446336</v>
      </c>
      <c r="V7" s="12">
        <f t="shared" si="4"/>
        <v>7.397213142955444</v>
      </c>
      <c r="W7" s="12">
        <f t="shared" si="4"/>
        <v>7.397213142955444</v>
      </c>
      <c r="X7" s="13">
        <f t="shared" si="4"/>
        <v>7.053156717701702</v>
      </c>
    </row>
    <row r="8" spans="1:24" ht="15">
      <c r="A8" s="8" t="s">
        <v>16</v>
      </c>
      <c r="B8" s="5">
        <v>1.34</v>
      </c>
      <c r="C8" s="12">
        <f t="shared" si="1"/>
        <v>6.402222222222222</v>
      </c>
      <c r="D8" s="12">
        <f t="shared" si="1"/>
        <v>5.7620000000000005</v>
      </c>
      <c r="E8" s="12">
        <f t="shared" si="1"/>
        <v>5.494</v>
      </c>
      <c r="F8" s="13">
        <f t="shared" si="1"/>
        <v>5.494</v>
      </c>
      <c r="G8" s="3">
        <v>1.25</v>
      </c>
      <c r="H8" s="12">
        <f t="shared" si="2"/>
        <v>4.772727272727273</v>
      </c>
      <c r="I8" s="12">
        <f t="shared" si="2"/>
        <v>4.772727272727273</v>
      </c>
      <c r="J8" s="13">
        <f t="shared" si="2"/>
        <v>5.375</v>
      </c>
      <c r="K8" s="3">
        <v>1.37</v>
      </c>
      <c r="L8" s="12">
        <f t="shared" si="3"/>
        <v>5.891</v>
      </c>
      <c r="M8" s="12">
        <f t="shared" si="3"/>
        <v>5.617</v>
      </c>
      <c r="N8" s="33">
        <f t="shared" si="3"/>
        <v>5.617</v>
      </c>
      <c r="O8" s="72">
        <f t="shared" si="3"/>
        <v>4.2153846153846155</v>
      </c>
      <c r="P8" s="33">
        <f t="shared" si="3"/>
        <v>4.857272727272727</v>
      </c>
      <c r="Q8" s="12">
        <f t="shared" si="3"/>
        <v>4.857272727272727</v>
      </c>
      <c r="R8" s="67">
        <v>0.8156</v>
      </c>
      <c r="S8" s="35">
        <f t="shared" si="0"/>
        <v>1.2260912211868564</v>
      </c>
      <c r="T8" s="12">
        <f t="shared" si="4"/>
        <v>4.792902046457711</v>
      </c>
      <c r="U8" s="12">
        <f t="shared" si="4"/>
        <v>5.585526674295679</v>
      </c>
      <c r="V8" s="12">
        <f t="shared" si="4"/>
        <v>5.2721922511034816</v>
      </c>
      <c r="W8" s="12">
        <f t="shared" si="4"/>
        <v>5.2721922511034816</v>
      </c>
      <c r="X8" s="13">
        <f t="shared" si="4"/>
        <v>5.02697400686611</v>
      </c>
    </row>
    <row r="9" spans="1:24" ht="15">
      <c r="A9" s="8" t="s">
        <v>17</v>
      </c>
      <c r="B9" s="5">
        <v>1.02</v>
      </c>
      <c r="C9" s="12">
        <f t="shared" si="1"/>
        <v>4.873333333333333</v>
      </c>
      <c r="D9" s="12">
        <f t="shared" si="1"/>
        <v>4.386</v>
      </c>
      <c r="E9" s="12">
        <f t="shared" si="1"/>
        <v>4.1819999999999995</v>
      </c>
      <c r="F9" s="13">
        <f t="shared" si="1"/>
        <v>4.1819999999999995</v>
      </c>
      <c r="G9" s="3">
        <v>0.94</v>
      </c>
      <c r="H9" s="12">
        <f t="shared" si="2"/>
        <v>3.589090909090909</v>
      </c>
      <c r="I9" s="12">
        <f t="shared" si="2"/>
        <v>3.589090909090909</v>
      </c>
      <c r="J9" s="13">
        <f t="shared" si="2"/>
        <v>4.042</v>
      </c>
      <c r="K9" s="3">
        <v>1.04</v>
      </c>
      <c r="L9" s="12">
        <f t="shared" si="3"/>
        <v>4.4719999999999995</v>
      </c>
      <c r="M9" s="12">
        <f t="shared" si="3"/>
        <v>4.263999999999999</v>
      </c>
      <c r="N9" s="33">
        <f t="shared" si="3"/>
        <v>4.263999999999999</v>
      </c>
      <c r="O9" s="72">
        <f t="shared" si="3"/>
        <v>3.2</v>
      </c>
      <c r="P9" s="33">
        <f t="shared" si="3"/>
        <v>3.6872727272727275</v>
      </c>
      <c r="Q9" s="12">
        <f t="shared" si="3"/>
        <v>3.6872727272727275</v>
      </c>
      <c r="R9" s="67">
        <v>1.057</v>
      </c>
      <c r="S9" s="35">
        <f t="shared" si="0"/>
        <v>0.946073793755913</v>
      </c>
      <c r="T9" s="12">
        <f t="shared" si="4"/>
        <v>3.6982884665003875</v>
      </c>
      <c r="U9" s="12">
        <f t="shared" si="4"/>
        <v>4.30989172711027</v>
      </c>
      <c r="V9" s="12">
        <f t="shared" si="4"/>
        <v>4.068117313150426</v>
      </c>
      <c r="W9" s="12">
        <f t="shared" si="4"/>
        <v>4.068117313150426</v>
      </c>
      <c r="X9" s="13">
        <f t="shared" si="4"/>
        <v>3.878902554399243</v>
      </c>
    </row>
    <row r="10" spans="1:24" ht="15">
      <c r="A10" s="8" t="s">
        <v>18</v>
      </c>
      <c r="B10" s="5">
        <v>0.83</v>
      </c>
      <c r="C10" s="12">
        <f t="shared" si="1"/>
        <v>3.9655555555555555</v>
      </c>
      <c r="D10" s="12">
        <f t="shared" si="1"/>
        <v>3.5689999999999995</v>
      </c>
      <c r="E10" s="12">
        <f t="shared" si="1"/>
        <v>3.4029999999999996</v>
      </c>
      <c r="F10" s="13">
        <f t="shared" si="1"/>
        <v>3.4029999999999996</v>
      </c>
      <c r="G10" s="3">
        <v>0.78</v>
      </c>
      <c r="H10" s="12">
        <f t="shared" si="2"/>
        <v>2.9781818181818185</v>
      </c>
      <c r="I10" s="12">
        <f t="shared" si="2"/>
        <v>2.9781818181818185</v>
      </c>
      <c r="J10" s="13">
        <f t="shared" si="2"/>
        <v>3.354</v>
      </c>
      <c r="K10" s="3">
        <v>0.83</v>
      </c>
      <c r="L10" s="12">
        <f t="shared" si="3"/>
        <v>3.5689999999999995</v>
      </c>
      <c r="M10" s="12">
        <f t="shared" si="3"/>
        <v>3.4029999999999996</v>
      </c>
      <c r="N10" s="33">
        <f t="shared" si="3"/>
        <v>3.4029999999999996</v>
      </c>
      <c r="O10" s="72">
        <f t="shared" si="3"/>
        <v>2.5538461538461537</v>
      </c>
      <c r="P10" s="33">
        <f t="shared" si="3"/>
        <v>2.9427272727272724</v>
      </c>
      <c r="Q10" s="12">
        <f t="shared" si="3"/>
        <v>2.9427272727272724</v>
      </c>
      <c r="R10" s="67">
        <v>1.282</v>
      </c>
      <c r="S10" s="35">
        <f t="shared" si="0"/>
        <v>0.7800312012480499</v>
      </c>
      <c r="T10" s="12">
        <f t="shared" si="4"/>
        <v>3.0492128776060134</v>
      </c>
      <c r="U10" s="12">
        <f t="shared" si="4"/>
        <v>3.5534754723522273</v>
      </c>
      <c r="V10" s="12">
        <f t="shared" si="4"/>
        <v>3.3541341653666144</v>
      </c>
      <c r="W10" s="12">
        <f t="shared" si="4"/>
        <v>3.3541341653666144</v>
      </c>
      <c r="X10" s="13">
        <f t="shared" si="4"/>
        <v>3.1981279251170043</v>
      </c>
    </row>
    <row r="11" spans="1:24" ht="15.75" thickBot="1">
      <c r="A11" s="9" t="s">
        <v>19</v>
      </c>
      <c r="B11" s="6">
        <v>2.61</v>
      </c>
      <c r="C11" s="14">
        <f t="shared" si="1"/>
        <v>12.469999999999999</v>
      </c>
      <c r="D11" s="14">
        <f t="shared" si="1"/>
        <v>11.222999999999999</v>
      </c>
      <c r="E11" s="14">
        <f t="shared" si="1"/>
        <v>10.700999999999999</v>
      </c>
      <c r="F11" s="15">
        <f t="shared" si="1"/>
        <v>10.700999999999999</v>
      </c>
      <c r="G11" s="4">
        <v>3</v>
      </c>
      <c r="H11" s="14">
        <f t="shared" si="2"/>
        <v>11.454545454545455</v>
      </c>
      <c r="I11" s="14">
        <f t="shared" si="2"/>
        <v>11.454545454545455</v>
      </c>
      <c r="J11" s="15">
        <f t="shared" si="2"/>
        <v>12.899999999999999</v>
      </c>
      <c r="K11" s="4">
        <v>2.62</v>
      </c>
      <c r="L11" s="14">
        <f t="shared" si="3"/>
        <v>11.266</v>
      </c>
      <c r="M11" s="14">
        <f t="shared" si="3"/>
        <v>10.741999999999999</v>
      </c>
      <c r="N11" s="34">
        <f t="shared" si="3"/>
        <v>10.741999999999999</v>
      </c>
      <c r="O11" s="73">
        <f t="shared" si="3"/>
        <v>8.061538461538463</v>
      </c>
      <c r="P11" s="34">
        <f t="shared" si="3"/>
        <v>9.289090909090909</v>
      </c>
      <c r="Q11" s="14">
        <f t="shared" si="3"/>
        <v>9.289090909090909</v>
      </c>
      <c r="R11" s="68">
        <v>0.33333</v>
      </c>
      <c r="S11" s="36">
        <f t="shared" si="0"/>
        <v>3.000030000300003</v>
      </c>
      <c r="T11" s="14">
        <f t="shared" si="4"/>
        <v>11.727390001172738</v>
      </c>
      <c r="U11" s="14">
        <f t="shared" si="4"/>
        <v>13.666803334700013</v>
      </c>
      <c r="V11" s="14">
        <f t="shared" si="4"/>
        <v>12.900129001290011</v>
      </c>
      <c r="W11" s="14">
        <f t="shared" si="4"/>
        <v>12.900129001290011</v>
      </c>
      <c r="X11" s="15">
        <f t="shared" si="4"/>
        <v>12.300123001230011</v>
      </c>
    </row>
    <row r="14" spans="3:23" ht="15">
      <c r="C14" s="11"/>
      <c r="D14" s="11"/>
      <c r="E14" s="11"/>
      <c r="F14" s="11"/>
      <c r="G14" s="11"/>
      <c r="H14" s="11"/>
      <c r="I14" s="11"/>
      <c r="J14" s="11"/>
      <c r="K14" s="11"/>
      <c r="L14" s="11"/>
      <c r="O14" s="11"/>
      <c r="P14" s="11"/>
      <c r="Q14" s="11"/>
      <c r="U14" s="11"/>
      <c r="V14" s="11"/>
      <c r="W14" s="11"/>
    </row>
    <row r="16" spans="1:6" ht="15">
      <c r="A16" s="29" t="s">
        <v>26</v>
      </c>
      <c r="B16" s="29" t="s">
        <v>27</v>
      </c>
      <c r="C16" s="29" t="s">
        <v>28</v>
      </c>
      <c r="D16" s="29" t="s">
        <v>29</v>
      </c>
      <c r="E16" s="29" t="s">
        <v>30</v>
      </c>
      <c r="F16" s="10" t="s">
        <v>65</v>
      </c>
    </row>
    <row r="17" spans="1:6" ht="15">
      <c r="A17" s="29">
        <v>195</v>
      </c>
      <c r="B17" s="29">
        <v>60</v>
      </c>
      <c r="C17" s="29">
        <v>14</v>
      </c>
      <c r="D17" s="31">
        <f>((C17*25.4)+(2*(A17/100*B17)))*PI()</f>
        <v>1852.2830285565417</v>
      </c>
      <c r="E17" s="29">
        <f>IF((F17),D17*(100-2.5)/100,D17)</f>
        <v>1852.2830285565417</v>
      </c>
      <c r="F17" s="10" t="b">
        <f>FALSE</f>
        <v>0</v>
      </c>
    </row>
    <row r="19" spans="2:24" ht="15">
      <c r="B19" s="30" t="s">
        <v>31</v>
      </c>
      <c r="C19" s="29">
        <f>1000/($E$17/1000)*C5*6</f>
        <v>15476.396546701719</v>
      </c>
      <c r="D19" s="29">
        <f aca="true" t="shared" si="5" ref="D19:X19">1000/($E$17/1000)*D5*6</f>
        <v>13928.756892031548</v>
      </c>
      <c r="E19" s="29">
        <f t="shared" si="5"/>
        <v>13280.907734262639</v>
      </c>
      <c r="F19" s="29">
        <f t="shared" si="5"/>
        <v>13280.907734262639</v>
      </c>
      <c r="G19" s="29">
        <f t="shared" si="5"/>
        <v>0</v>
      </c>
      <c r="H19" s="29">
        <f t="shared" si="5"/>
        <v>12368.029375588267</v>
      </c>
      <c r="I19" s="29">
        <f t="shared" si="5"/>
        <v>12368.029375588267</v>
      </c>
      <c r="J19" s="29">
        <f t="shared" si="5"/>
        <v>13928.756892031548</v>
      </c>
      <c r="K19" s="29">
        <f t="shared" si="5"/>
        <v>0</v>
      </c>
      <c r="L19" s="29">
        <f t="shared" si="5"/>
        <v>13928.756892031548</v>
      </c>
      <c r="M19" s="29">
        <f t="shared" si="5"/>
        <v>13280.907734262639</v>
      </c>
      <c r="N19" s="29">
        <f t="shared" si="5"/>
        <v>13280.907734262639</v>
      </c>
      <c r="O19" s="29">
        <f>1000/($E$17/1000)*O5*6</f>
        <v>9966.91011952168</v>
      </c>
      <c r="P19" s="29">
        <f>1000/($E$17/1000)*P5*6</f>
        <v>11484.59870590339</v>
      </c>
      <c r="Q19" s="29">
        <f>1000/($E$17/1000)*Q5*6</f>
        <v>11484.59870590339</v>
      </c>
      <c r="R19" s="29">
        <f t="shared" si="5"/>
        <v>0</v>
      </c>
      <c r="S19" s="29">
        <f t="shared" si="5"/>
        <v>0</v>
      </c>
      <c r="T19" s="29">
        <f t="shared" si="5"/>
        <v>12662.506265483225</v>
      </c>
      <c r="U19" s="29">
        <f t="shared" si="5"/>
        <v>14756.564149180711</v>
      </c>
      <c r="V19" s="29">
        <f t="shared" si="5"/>
        <v>13928.756892031548</v>
      </c>
      <c r="W19" s="29">
        <f t="shared" si="5"/>
        <v>13928.756892031548</v>
      </c>
      <c r="X19" s="29">
        <f t="shared" si="5"/>
        <v>13280.907734262639</v>
      </c>
    </row>
    <row r="20" spans="3:24" ht="15">
      <c r="C20" s="10">
        <f>INT(C19)</f>
        <v>15476</v>
      </c>
      <c r="D20" s="10">
        <f aca="true" t="shared" si="6" ref="D20:X20">INT(D19)</f>
        <v>13928</v>
      </c>
      <c r="E20" s="10">
        <f t="shared" si="6"/>
        <v>13280</v>
      </c>
      <c r="F20" s="10">
        <f t="shared" si="6"/>
        <v>13280</v>
      </c>
      <c r="G20" s="10">
        <f t="shared" si="6"/>
        <v>0</v>
      </c>
      <c r="H20" s="10">
        <f t="shared" si="6"/>
        <v>12368</v>
      </c>
      <c r="I20" s="10">
        <f t="shared" si="6"/>
        <v>12368</v>
      </c>
      <c r="J20" s="10">
        <f t="shared" si="6"/>
        <v>13928</v>
      </c>
      <c r="K20" s="10">
        <f t="shared" si="6"/>
        <v>0</v>
      </c>
      <c r="L20" s="10">
        <f t="shared" si="6"/>
        <v>13928</v>
      </c>
      <c r="M20" s="10">
        <f t="shared" si="6"/>
        <v>13280</v>
      </c>
      <c r="N20" s="10">
        <f t="shared" si="6"/>
        <v>13280</v>
      </c>
      <c r="O20" s="10">
        <f>INT(O19)</f>
        <v>9966</v>
      </c>
      <c r="P20" s="10">
        <f>INT(P19)</f>
        <v>11484</v>
      </c>
      <c r="Q20" s="10">
        <f>INT(Q19)</f>
        <v>11484</v>
      </c>
      <c r="R20" s="10">
        <f t="shared" si="6"/>
        <v>0</v>
      </c>
      <c r="T20" s="10">
        <f t="shared" si="6"/>
        <v>12662</v>
      </c>
      <c r="U20" s="10">
        <f t="shared" si="6"/>
        <v>14756</v>
      </c>
      <c r="V20" s="10">
        <f t="shared" si="6"/>
        <v>13928</v>
      </c>
      <c r="W20" s="10">
        <f t="shared" si="6"/>
        <v>13928</v>
      </c>
      <c r="X20" s="10">
        <f t="shared" si="6"/>
        <v>13280</v>
      </c>
    </row>
    <row r="23" spans="1:24" ht="15.75">
      <c r="A23" s="10" t="s">
        <v>32</v>
      </c>
      <c r="B23" s="32">
        <f>41*3.6</f>
        <v>147.6</v>
      </c>
      <c r="C23" s="10">
        <f aca="true" t="shared" si="7" ref="C23:H23">IF((C20=0),0,INT($B$23*3600/C20)+1)</f>
        <v>35</v>
      </c>
      <c r="D23" s="10">
        <f t="shared" si="7"/>
        <v>39</v>
      </c>
      <c r="E23" s="10">
        <f t="shared" si="7"/>
        <v>41</v>
      </c>
      <c r="F23" s="10">
        <f t="shared" si="7"/>
        <v>41</v>
      </c>
      <c r="G23" s="10">
        <f t="shared" si="7"/>
        <v>0</v>
      </c>
      <c r="H23" s="10">
        <f t="shared" si="7"/>
        <v>43</v>
      </c>
      <c r="I23" s="10">
        <f aca="true" t="shared" si="8" ref="I23:X23">IF((I20=0),0,INT($B$23*3600/I20)+1)</f>
        <v>43</v>
      </c>
      <c r="J23" s="10">
        <f t="shared" si="8"/>
        <v>39</v>
      </c>
      <c r="K23" s="10">
        <f t="shared" si="8"/>
        <v>0</v>
      </c>
      <c r="L23" s="10">
        <f t="shared" si="8"/>
        <v>39</v>
      </c>
      <c r="M23" s="10">
        <f t="shared" si="8"/>
        <v>41</v>
      </c>
      <c r="N23" s="10">
        <f t="shared" si="8"/>
        <v>41</v>
      </c>
      <c r="O23" s="10">
        <f>IF((O20=0),0,INT($B$23*3600/O20)+1)</f>
        <v>54</v>
      </c>
      <c r="P23" s="10">
        <f>IF((P20=0),0,INT($B$23*3600/P20)+1)</f>
        <v>47</v>
      </c>
      <c r="Q23" s="10">
        <f>IF((Q20=0),0,INT($B$23*3600/Q20)+1)</f>
        <v>47</v>
      </c>
      <c r="R23" s="10">
        <f t="shared" si="8"/>
        <v>0</v>
      </c>
      <c r="T23" s="10">
        <f t="shared" si="8"/>
        <v>42</v>
      </c>
      <c r="U23" s="10">
        <f t="shared" si="8"/>
        <v>37</v>
      </c>
      <c r="V23" s="10">
        <f t="shared" si="8"/>
        <v>39</v>
      </c>
      <c r="W23" s="10">
        <f t="shared" si="8"/>
        <v>39</v>
      </c>
      <c r="X23" s="10">
        <f t="shared" si="8"/>
        <v>41</v>
      </c>
    </row>
    <row r="25" spans="1:24" ht="15">
      <c r="A25" s="10" t="s">
        <v>33</v>
      </c>
      <c r="B25" s="10">
        <v>0.021</v>
      </c>
      <c r="C25" s="10">
        <f>IF((C$23=0),0,INT((1/$B25)*3600/C$20)+1)</f>
        <v>12</v>
      </c>
      <c r="D25" s="10">
        <f aca="true" t="shared" si="9" ref="D25:X26">IF((D$23=0),0,INT((1/$B25)*3600/D$20)+1)</f>
        <v>13</v>
      </c>
      <c r="E25" s="10">
        <f t="shared" si="9"/>
        <v>13</v>
      </c>
      <c r="F25" s="10">
        <f t="shared" si="9"/>
        <v>13</v>
      </c>
      <c r="G25" s="10">
        <f t="shared" si="9"/>
        <v>0</v>
      </c>
      <c r="H25" s="10">
        <f t="shared" si="9"/>
        <v>14</v>
      </c>
      <c r="I25" s="10">
        <f t="shared" si="9"/>
        <v>14</v>
      </c>
      <c r="J25" s="10">
        <f t="shared" si="9"/>
        <v>13</v>
      </c>
      <c r="K25" s="10">
        <f t="shared" si="9"/>
        <v>0</v>
      </c>
      <c r="L25" s="10">
        <f t="shared" si="9"/>
        <v>13</v>
      </c>
      <c r="M25" s="10">
        <f t="shared" si="9"/>
        <v>13</v>
      </c>
      <c r="N25" s="10">
        <f t="shared" si="9"/>
        <v>13</v>
      </c>
      <c r="O25" s="10">
        <f t="shared" si="9"/>
        <v>18</v>
      </c>
      <c r="P25" s="10">
        <f t="shared" si="9"/>
        <v>15</v>
      </c>
      <c r="Q25" s="10">
        <f t="shared" si="9"/>
        <v>15</v>
      </c>
      <c r="R25" s="10">
        <f t="shared" si="9"/>
        <v>0</v>
      </c>
      <c r="T25" s="10">
        <f t="shared" si="9"/>
        <v>14</v>
      </c>
      <c r="U25" s="10">
        <f t="shared" si="9"/>
        <v>12</v>
      </c>
      <c r="V25" s="10">
        <f t="shared" si="9"/>
        <v>13</v>
      </c>
      <c r="W25" s="10">
        <f t="shared" si="9"/>
        <v>13</v>
      </c>
      <c r="X25" s="10">
        <f t="shared" si="9"/>
        <v>13</v>
      </c>
    </row>
    <row r="26" spans="2:24" ht="15">
      <c r="B26" s="10">
        <f>1/B23</f>
        <v>0.006775067750677507</v>
      </c>
      <c r="C26" s="10">
        <f>IF((C$23=0),0,INT((1/$B26)*3600/C$20)+1)</f>
        <v>35</v>
      </c>
      <c r="D26" s="10">
        <f t="shared" si="9"/>
        <v>39</v>
      </c>
      <c r="E26" s="10">
        <f t="shared" si="9"/>
        <v>41</v>
      </c>
      <c r="F26" s="10">
        <f t="shared" si="9"/>
        <v>41</v>
      </c>
      <c r="G26" s="10">
        <f t="shared" si="9"/>
        <v>0</v>
      </c>
      <c r="H26" s="10">
        <f t="shared" si="9"/>
        <v>43</v>
      </c>
      <c r="I26" s="10">
        <f t="shared" si="9"/>
        <v>43</v>
      </c>
      <c r="J26" s="10">
        <f t="shared" si="9"/>
        <v>39</v>
      </c>
      <c r="K26" s="10">
        <f t="shared" si="9"/>
        <v>0</v>
      </c>
      <c r="L26" s="10">
        <f t="shared" si="9"/>
        <v>39</v>
      </c>
      <c r="M26" s="10">
        <f t="shared" si="9"/>
        <v>41</v>
      </c>
      <c r="N26" s="10">
        <f t="shared" si="9"/>
        <v>41</v>
      </c>
      <c r="O26" s="10">
        <f t="shared" si="9"/>
        <v>54</v>
      </c>
      <c r="P26" s="10">
        <f t="shared" si="9"/>
        <v>47</v>
      </c>
      <c r="Q26" s="10">
        <f t="shared" si="9"/>
        <v>47</v>
      </c>
      <c r="R26" s="10">
        <f t="shared" si="9"/>
        <v>0</v>
      </c>
      <c r="T26" s="10">
        <f t="shared" si="9"/>
        <v>42</v>
      </c>
      <c r="U26" s="10">
        <f t="shared" si="9"/>
        <v>37</v>
      </c>
      <c r="V26" s="10">
        <f t="shared" si="9"/>
        <v>39</v>
      </c>
      <c r="W26" s="10">
        <f t="shared" si="9"/>
        <v>39</v>
      </c>
      <c r="X26" s="10">
        <f t="shared" si="9"/>
        <v>41</v>
      </c>
    </row>
    <row r="31" spans="1:24" ht="15">
      <c r="A31" s="37"/>
      <c r="B31" s="37" t="s">
        <v>14</v>
      </c>
      <c r="C31" s="37">
        <f>INT($B$23*60*$B6/250)*250</f>
        <v>29000</v>
      </c>
      <c r="D31" s="37">
        <f>INT($B$23*60*$B6/250)*250</f>
        <v>29000</v>
      </c>
      <c r="E31" s="37">
        <f>INT($B$23*60*$B6/250)*250</f>
        <v>29000</v>
      </c>
      <c r="F31" s="37">
        <f>INT($B$23*60*$B6/250)*250</f>
        <v>29000</v>
      </c>
      <c r="G31" s="37"/>
      <c r="H31" s="37">
        <f>INT($B$23*60*$G6/250)*250</f>
        <v>30750</v>
      </c>
      <c r="I31" s="37">
        <f>INT($B$23*60*$G6/250)*250</f>
        <v>30750</v>
      </c>
      <c r="J31" s="37">
        <f>INT($B$23*60*$G6/250)*250</f>
        <v>30750</v>
      </c>
      <c r="K31" s="37"/>
      <c r="L31" s="37">
        <f>INT($B$23*60*$K6/250)*250</f>
        <v>29000</v>
      </c>
      <c r="M31" s="37">
        <f>INT($B$23*60*$K6/250)*250</f>
        <v>29000</v>
      </c>
      <c r="N31" s="37">
        <f>INT($B$23*60*$K6/250)*250</f>
        <v>29000</v>
      </c>
      <c r="O31" s="37">
        <f>INT($B$23*60*$K6/250)*250</f>
        <v>29000</v>
      </c>
      <c r="P31" s="37">
        <f>INT($B$23*60*$K6/250)*250</f>
        <v>29000</v>
      </c>
      <c r="Q31" s="37">
        <f>INT($B$23*60*$K6/250)*250</f>
        <v>29000</v>
      </c>
      <c r="R31" s="37"/>
      <c r="S31" s="37"/>
      <c r="T31" s="37">
        <f aca="true" t="shared" si="10" ref="O31:X31">INT($B$23*60*$S6/250)*250</f>
        <v>25250</v>
      </c>
      <c r="U31" s="37">
        <f t="shared" si="10"/>
        <v>25250</v>
      </c>
      <c r="V31" s="37">
        <f t="shared" si="10"/>
        <v>25250</v>
      </c>
      <c r="W31" s="37">
        <f t="shared" si="10"/>
        <v>25250</v>
      </c>
      <c r="X31" s="37">
        <f t="shared" si="10"/>
        <v>25250</v>
      </c>
    </row>
    <row r="32" spans="1:24" ht="15">
      <c r="A32" s="37"/>
      <c r="B32" s="37" t="s">
        <v>15</v>
      </c>
      <c r="C32" s="37">
        <f aca="true" t="shared" si="11" ref="C32:F36">INT($B$23*60*$B7/250)*250</f>
        <v>17250</v>
      </c>
      <c r="D32" s="37">
        <f t="shared" si="11"/>
        <v>17250</v>
      </c>
      <c r="E32" s="37">
        <f t="shared" si="11"/>
        <v>17250</v>
      </c>
      <c r="F32" s="37">
        <f t="shared" si="11"/>
        <v>17250</v>
      </c>
      <c r="G32" s="37"/>
      <c r="H32" s="37">
        <f aca="true" t="shared" si="12" ref="H32:J36">INT($B$23*60*$G7/250)*250</f>
        <v>17250</v>
      </c>
      <c r="I32" s="37">
        <f t="shared" si="12"/>
        <v>17250</v>
      </c>
      <c r="J32" s="37">
        <f t="shared" si="12"/>
        <v>17250</v>
      </c>
      <c r="K32" s="37"/>
      <c r="L32" s="37">
        <f aca="true" t="shared" si="13" ref="L32:N36">INT($B$23*60*$K7/250)*250</f>
        <v>17500</v>
      </c>
      <c r="M32" s="37">
        <f t="shared" si="13"/>
        <v>17500</v>
      </c>
      <c r="N32" s="37">
        <f t="shared" si="13"/>
        <v>17500</v>
      </c>
      <c r="O32" s="37">
        <f>INT($B$23*60*$K7/250)*250</f>
        <v>17500</v>
      </c>
      <c r="P32" s="37">
        <f>INT($B$23*60*$K7/250)*250</f>
        <v>17500</v>
      </c>
      <c r="Q32" s="37">
        <f>INT($B$23*60*$K7/250)*250</f>
        <v>17500</v>
      </c>
      <c r="R32" s="37"/>
      <c r="S32" s="37"/>
      <c r="T32" s="37">
        <f aca="true" t="shared" si="14" ref="T32:X36">INT($B$23*60*$S7/250)*250</f>
        <v>15000</v>
      </c>
      <c r="U32" s="37">
        <f t="shared" si="14"/>
        <v>15000</v>
      </c>
      <c r="V32" s="37">
        <f t="shared" si="14"/>
        <v>15000</v>
      </c>
      <c r="W32" s="37">
        <f t="shared" si="14"/>
        <v>15000</v>
      </c>
      <c r="X32" s="37">
        <f t="shared" si="14"/>
        <v>15000</v>
      </c>
    </row>
    <row r="33" spans="1:24" ht="15">
      <c r="A33" s="37"/>
      <c r="B33" s="37" t="s">
        <v>16</v>
      </c>
      <c r="C33" s="37">
        <f t="shared" si="11"/>
        <v>11750</v>
      </c>
      <c r="D33" s="37">
        <f t="shared" si="11"/>
        <v>11750</v>
      </c>
      <c r="E33" s="37">
        <f t="shared" si="11"/>
        <v>11750</v>
      </c>
      <c r="F33" s="37">
        <f t="shared" si="11"/>
        <v>11750</v>
      </c>
      <c r="G33" s="37"/>
      <c r="H33" s="37">
        <f t="shared" si="12"/>
        <v>11000</v>
      </c>
      <c r="I33" s="37">
        <f t="shared" si="12"/>
        <v>11000</v>
      </c>
      <c r="J33" s="37">
        <f t="shared" si="12"/>
        <v>11000</v>
      </c>
      <c r="K33" s="37"/>
      <c r="L33" s="37">
        <f t="shared" si="13"/>
        <v>12000</v>
      </c>
      <c r="M33" s="37">
        <f t="shared" si="13"/>
        <v>12000</v>
      </c>
      <c r="N33" s="37">
        <f t="shared" si="13"/>
        <v>12000</v>
      </c>
      <c r="O33" s="37">
        <f>INT($B$23*60*$K8/250)*250</f>
        <v>12000</v>
      </c>
      <c r="P33" s="37">
        <f>INT($B$23*60*$K8/250)*250</f>
        <v>12000</v>
      </c>
      <c r="Q33" s="37">
        <f>INT($B$23*60*$K8/250)*250</f>
        <v>12000</v>
      </c>
      <c r="R33" s="37"/>
      <c r="S33" s="37"/>
      <c r="T33" s="37">
        <f t="shared" si="14"/>
        <v>10750</v>
      </c>
      <c r="U33" s="37">
        <f t="shared" si="14"/>
        <v>10750</v>
      </c>
      <c r="V33" s="37">
        <f t="shared" si="14"/>
        <v>10750</v>
      </c>
      <c r="W33" s="37">
        <f t="shared" si="14"/>
        <v>10750</v>
      </c>
      <c r="X33" s="37">
        <f t="shared" si="14"/>
        <v>10750</v>
      </c>
    </row>
    <row r="34" spans="1:24" ht="15">
      <c r="A34" s="37"/>
      <c r="B34" s="37" t="s">
        <v>17</v>
      </c>
      <c r="C34" s="37">
        <f t="shared" si="11"/>
        <v>9000</v>
      </c>
      <c r="D34" s="37">
        <f t="shared" si="11"/>
        <v>9000</v>
      </c>
      <c r="E34" s="37">
        <f t="shared" si="11"/>
        <v>9000</v>
      </c>
      <c r="F34" s="37">
        <f t="shared" si="11"/>
        <v>9000</v>
      </c>
      <c r="G34" s="37"/>
      <c r="H34" s="37">
        <f t="shared" si="12"/>
        <v>8250</v>
      </c>
      <c r="I34" s="37">
        <f t="shared" si="12"/>
        <v>8250</v>
      </c>
      <c r="J34" s="37">
        <f t="shared" si="12"/>
        <v>8250</v>
      </c>
      <c r="K34" s="37"/>
      <c r="L34" s="37">
        <f t="shared" si="13"/>
        <v>9000</v>
      </c>
      <c r="M34" s="37">
        <f t="shared" si="13"/>
        <v>9000</v>
      </c>
      <c r="N34" s="37">
        <f t="shared" si="13"/>
        <v>9000</v>
      </c>
      <c r="O34" s="37">
        <f>INT($B$23*60*$K9/250)*250</f>
        <v>9000</v>
      </c>
      <c r="P34" s="37">
        <f>INT($B$23*60*$K9/250)*250</f>
        <v>9000</v>
      </c>
      <c r="Q34" s="37">
        <f>INT($B$23*60*$K9/250)*250</f>
        <v>9000</v>
      </c>
      <c r="R34" s="37"/>
      <c r="S34" s="37"/>
      <c r="T34" s="37">
        <f t="shared" si="14"/>
        <v>8250</v>
      </c>
      <c r="U34" s="37">
        <f t="shared" si="14"/>
        <v>8250</v>
      </c>
      <c r="V34" s="37">
        <f t="shared" si="14"/>
        <v>8250</v>
      </c>
      <c r="W34" s="37">
        <f t="shared" si="14"/>
        <v>8250</v>
      </c>
      <c r="X34" s="37">
        <f t="shared" si="14"/>
        <v>8250</v>
      </c>
    </row>
    <row r="35" spans="1:24" ht="15">
      <c r="A35" s="37"/>
      <c r="B35" s="37" t="s">
        <v>18</v>
      </c>
      <c r="C35" s="37">
        <f t="shared" si="11"/>
        <v>7250</v>
      </c>
      <c r="D35" s="37">
        <f t="shared" si="11"/>
        <v>7250</v>
      </c>
      <c r="E35" s="37">
        <f t="shared" si="11"/>
        <v>7250</v>
      </c>
      <c r="F35" s="37">
        <f t="shared" si="11"/>
        <v>7250</v>
      </c>
      <c r="G35" s="37"/>
      <c r="H35" s="37">
        <f t="shared" si="12"/>
        <v>6750</v>
      </c>
      <c r="I35" s="37">
        <f t="shared" si="12"/>
        <v>6750</v>
      </c>
      <c r="J35" s="37">
        <f t="shared" si="12"/>
        <v>6750</v>
      </c>
      <c r="K35" s="37"/>
      <c r="L35" s="37">
        <f t="shared" si="13"/>
        <v>7250</v>
      </c>
      <c r="M35" s="37">
        <f t="shared" si="13"/>
        <v>7250</v>
      </c>
      <c r="N35" s="37">
        <f t="shared" si="13"/>
        <v>7250</v>
      </c>
      <c r="O35" s="37">
        <f>INT($B$23*60*$K10/250)*250</f>
        <v>7250</v>
      </c>
      <c r="P35" s="37">
        <f>INT($B$23*60*$K10/250)*250</f>
        <v>7250</v>
      </c>
      <c r="Q35" s="37">
        <f>INT($B$23*60*$K10/250)*250</f>
        <v>7250</v>
      </c>
      <c r="R35" s="37"/>
      <c r="S35" s="37"/>
      <c r="T35" s="37">
        <f t="shared" si="14"/>
        <v>6750</v>
      </c>
      <c r="U35" s="37">
        <f t="shared" si="14"/>
        <v>6750</v>
      </c>
      <c r="V35" s="37">
        <f t="shared" si="14"/>
        <v>6750</v>
      </c>
      <c r="W35" s="37">
        <f t="shared" si="14"/>
        <v>6750</v>
      </c>
      <c r="X35" s="37">
        <f t="shared" si="14"/>
        <v>6750</v>
      </c>
    </row>
    <row r="36" spans="1:24" ht="15">
      <c r="A36" s="37"/>
      <c r="B36" s="37" t="s">
        <v>19</v>
      </c>
      <c r="C36" s="37">
        <f t="shared" si="11"/>
        <v>23000</v>
      </c>
      <c r="D36" s="37">
        <f t="shared" si="11"/>
        <v>23000</v>
      </c>
      <c r="E36" s="37">
        <f t="shared" si="11"/>
        <v>23000</v>
      </c>
      <c r="F36" s="37">
        <f t="shared" si="11"/>
        <v>23000</v>
      </c>
      <c r="G36" s="37"/>
      <c r="H36" s="37">
        <f t="shared" si="12"/>
        <v>26500</v>
      </c>
      <c r="I36" s="37">
        <f t="shared" si="12"/>
        <v>26500</v>
      </c>
      <c r="J36" s="37">
        <f t="shared" si="12"/>
        <v>26500</v>
      </c>
      <c r="K36" s="37"/>
      <c r="L36" s="37">
        <f t="shared" si="13"/>
        <v>23000</v>
      </c>
      <c r="M36" s="37">
        <f t="shared" si="13"/>
        <v>23000</v>
      </c>
      <c r="N36" s="37">
        <f t="shared" si="13"/>
        <v>23000</v>
      </c>
      <c r="O36" s="37">
        <f>INT($B$23*60*$K11/250)*250</f>
        <v>23000</v>
      </c>
      <c r="P36" s="37">
        <f>INT($B$23*60*$K11/250)*250</f>
        <v>23000</v>
      </c>
      <c r="Q36" s="37">
        <f>INT($B$23*60*$K11/250)*250</f>
        <v>23000</v>
      </c>
      <c r="R36" s="37"/>
      <c r="S36" s="37"/>
      <c r="T36" s="37">
        <f t="shared" si="14"/>
        <v>26500</v>
      </c>
      <c r="U36" s="37">
        <f t="shared" si="14"/>
        <v>26500</v>
      </c>
      <c r="V36" s="37">
        <f t="shared" si="14"/>
        <v>26500</v>
      </c>
      <c r="W36" s="37">
        <f t="shared" si="14"/>
        <v>26500</v>
      </c>
      <c r="X36" s="37">
        <f t="shared" si="14"/>
        <v>26500</v>
      </c>
    </row>
    <row r="39" spans="1:3" ht="15.75">
      <c r="A39" s="10" t="s">
        <v>64</v>
      </c>
      <c r="B39" s="32">
        <v>5000</v>
      </c>
      <c r="C39" s="10">
        <v>0.61</v>
      </c>
    </row>
    <row r="40" spans="2:24" ht="15">
      <c r="B40" s="37" t="s">
        <v>14</v>
      </c>
      <c r="C40" s="49">
        <f aca="true" t="shared" si="15" ref="C40:C45">$B$39/C6*3.6/$E$17*100*$C$39</f>
        <v>37.59716570984473</v>
      </c>
      <c r="D40" s="49">
        <f aca="true" t="shared" si="16" ref="D40:X45">$B$39/D6*3.6/$E$17*100*$C$39</f>
        <v>41.77462856649415</v>
      </c>
      <c r="E40" s="49">
        <f t="shared" si="16"/>
        <v>43.81241532583534</v>
      </c>
      <c r="F40" s="49">
        <f t="shared" si="16"/>
        <v>43.81241532583534</v>
      </c>
      <c r="G40" s="49"/>
      <c r="H40" s="49">
        <f t="shared" si="16"/>
        <v>44.35783519009572</v>
      </c>
      <c r="I40" s="49">
        <f t="shared" si="16"/>
        <v>44.35783519009572</v>
      </c>
      <c r="J40" s="49">
        <f t="shared" si="16"/>
        <v>39.38750693412305</v>
      </c>
      <c r="K40" s="49"/>
      <c r="L40" s="49">
        <f t="shared" si="16"/>
        <v>41.77462856649415</v>
      </c>
      <c r="M40" s="49">
        <f t="shared" si="16"/>
        <v>43.81241532583534</v>
      </c>
      <c r="N40" s="49">
        <f t="shared" si="16"/>
        <v>43.81241532583534</v>
      </c>
      <c r="O40" s="49">
        <f>$B$39/O6*3.6/$E$17*100*$C$39</f>
        <v>58.380043421675566</v>
      </c>
      <c r="P40" s="49">
        <f>$B$39/P6*3.6/$E$17*100*$C$39</f>
        <v>50.66512644090188</v>
      </c>
      <c r="Q40" s="49">
        <f>$B$39/Q6*3.6/$E$17*100*$C$39</f>
        <v>50.66512644090188</v>
      </c>
      <c r="R40" s="49"/>
      <c r="S40" s="49"/>
      <c r="T40" s="49">
        <f t="shared" si="16"/>
        <v>52.74105340999879</v>
      </c>
      <c r="U40" s="49">
        <f t="shared" si="16"/>
        <v>45.25673540946681</v>
      </c>
      <c r="V40" s="49">
        <f t="shared" si="16"/>
        <v>47.94641219090799</v>
      </c>
      <c r="W40" s="49">
        <f t="shared" si="16"/>
        <v>47.94641219090799</v>
      </c>
      <c r="X40" s="49">
        <f t="shared" si="16"/>
        <v>50.28526156607423</v>
      </c>
    </row>
    <row r="41" spans="2:24" ht="15">
      <c r="B41" s="37" t="s">
        <v>15</v>
      </c>
      <c r="C41" s="49">
        <f t="shared" si="15"/>
        <v>63.62597273973725</v>
      </c>
      <c r="D41" s="49">
        <f>$B$39/D7*3.6/$E$17*100*$C$39</f>
        <v>70.69552526637472</v>
      </c>
      <c r="E41" s="49">
        <f>$B$39/E7*3.6/$E$17*100*$C$39</f>
        <v>74.14408747449055</v>
      </c>
      <c r="F41" s="49">
        <f>$B$39/F7*3.6/$E$17*100*$C$39</f>
        <v>74.14408747449055</v>
      </c>
      <c r="G41" s="49"/>
      <c r="H41" s="49">
        <f>$B$39/H7*3.6/$E$17*100*$C$39</f>
        <v>79.61662726427438</v>
      </c>
      <c r="I41" s="49">
        <f>$B$39/I7*3.6/$E$17*100*$C$39</f>
        <v>79.61662726427438</v>
      </c>
      <c r="J41" s="49">
        <f>$B$39/J7*3.6/$E$17*100*$C$39</f>
        <v>70.69552526637472</v>
      </c>
      <c r="K41" s="49"/>
      <c r="L41" s="49">
        <f>$B$39/L7*3.6/$E$17*100*$C$39</f>
        <v>68.92813713471536</v>
      </c>
      <c r="M41" s="49">
        <f>$B$39/M7*3.6/$E$17*100*$C$39</f>
        <v>72.2904852876283</v>
      </c>
      <c r="N41" s="49">
        <f>$B$39/N7*3.6/$E$17*100*$C$39</f>
        <v>72.2904852876283</v>
      </c>
      <c r="O41" s="49">
        <f>$B$39/O7*3.6/$E$17*100*$C$39</f>
        <v>96.32707164576468</v>
      </c>
      <c r="P41" s="49">
        <f>$B$39/P7*3.6/$E$17*100*$C$39</f>
        <v>83.5974586274881</v>
      </c>
      <c r="Q41" s="49">
        <f>$B$39/Q7*3.6/$E$17*100*$C$39</f>
        <v>83.5974586274881</v>
      </c>
      <c r="R41" s="49"/>
      <c r="S41" s="49"/>
      <c r="T41" s="49">
        <f>$B$39/T7*3.6/$E$17*100*$C$39</f>
        <v>88.14943745610208</v>
      </c>
      <c r="U41" s="49">
        <f>$B$39/U7*3.6/$E$17*100*$C$39</f>
        <v>75.640426375857</v>
      </c>
      <c r="V41" s="49">
        <f t="shared" si="16"/>
        <v>80.13585223282007</v>
      </c>
      <c r="W41" s="49">
        <f t="shared" si="16"/>
        <v>80.13585223282007</v>
      </c>
      <c r="X41" s="49">
        <f t="shared" si="16"/>
        <v>84.04491819539666</v>
      </c>
    </row>
    <row r="42" spans="2:24" ht="15">
      <c r="B42" s="37" t="s">
        <v>16</v>
      </c>
      <c r="C42" s="49">
        <f t="shared" si="15"/>
        <v>92.59003495708032</v>
      </c>
      <c r="D42" s="49">
        <f t="shared" si="16"/>
        <v>102.87781661897812</v>
      </c>
      <c r="E42" s="49">
        <f t="shared" si="16"/>
        <v>107.89624669795266</v>
      </c>
      <c r="F42" s="49">
        <f t="shared" si="16"/>
        <v>107.89624669795266</v>
      </c>
      <c r="G42" s="49"/>
      <c r="H42" s="49">
        <f t="shared" si="16"/>
        <v>124.20193853226803</v>
      </c>
      <c r="I42" s="49">
        <f t="shared" si="16"/>
        <v>124.20193853226803</v>
      </c>
      <c r="J42" s="49">
        <f t="shared" si="16"/>
        <v>110.28501941554454</v>
      </c>
      <c r="K42" s="49"/>
      <c r="L42" s="49">
        <f t="shared" si="16"/>
        <v>100.62501771491291</v>
      </c>
      <c r="M42" s="49">
        <f t="shared" si="16"/>
        <v>105.53355516442085</v>
      </c>
      <c r="N42" s="49">
        <f t="shared" si="16"/>
        <v>105.53355516442085</v>
      </c>
      <c r="O42" s="49">
        <f>$B$39/O8*3.6/$E$17*100*$C$39</f>
        <v>140.62346225659078</v>
      </c>
      <c r="P42" s="49">
        <f>$B$39/P8*3.6/$E$17*100*$C$39</f>
        <v>122.04008558757387</v>
      </c>
      <c r="Q42" s="49">
        <f>$B$39/Q8*3.6/$E$17*100*$C$39</f>
        <v>122.04008558757387</v>
      </c>
      <c r="R42" s="49"/>
      <c r="S42" s="49"/>
      <c r="T42" s="49">
        <f t="shared" si="16"/>
        <v>123.67913502356244</v>
      </c>
      <c r="U42" s="49">
        <f t="shared" si="16"/>
        <v>106.12821564106132</v>
      </c>
      <c r="V42" s="49">
        <f t="shared" si="16"/>
        <v>112.43557729414768</v>
      </c>
      <c r="W42" s="49">
        <f t="shared" si="16"/>
        <v>112.43557729414768</v>
      </c>
      <c r="X42" s="49">
        <f t="shared" si="16"/>
        <v>117.92023960117926</v>
      </c>
    </row>
    <row r="43" spans="2:24" ht="15">
      <c r="B43" s="37" t="s">
        <v>17</v>
      </c>
      <c r="C43" s="49">
        <f t="shared" si="15"/>
        <v>121.63788906126236</v>
      </c>
      <c r="D43" s="49">
        <f t="shared" si="16"/>
        <v>135.1532100680693</v>
      </c>
      <c r="E43" s="49">
        <f t="shared" si="16"/>
        <v>141.74604958358492</v>
      </c>
      <c r="F43" s="49">
        <f t="shared" si="16"/>
        <v>141.74604958358492</v>
      </c>
      <c r="G43" s="49"/>
      <c r="H43" s="49">
        <f t="shared" si="16"/>
        <v>165.1621523035479</v>
      </c>
      <c r="I43" s="49">
        <f t="shared" si="16"/>
        <v>165.1621523035479</v>
      </c>
      <c r="J43" s="49">
        <f t="shared" si="16"/>
        <v>146.6556109249263</v>
      </c>
      <c r="K43" s="49"/>
      <c r="L43" s="49">
        <f t="shared" si="16"/>
        <v>132.5541098744526</v>
      </c>
      <c r="M43" s="49">
        <f t="shared" si="16"/>
        <v>139.0201640146698</v>
      </c>
      <c r="N43" s="49">
        <f t="shared" si="16"/>
        <v>139.0201640146698</v>
      </c>
      <c r="O43" s="49">
        <f>$B$39/O9*3.6/$E$17*100*$C$39</f>
        <v>185.24436854954746</v>
      </c>
      <c r="P43" s="49">
        <f>$B$39/P9*3.6/$E$17*100*$C$39</f>
        <v>160.7643435144002</v>
      </c>
      <c r="Q43" s="49">
        <f>$B$39/Q9*3.6/$E$17*100*$C$39</f>
        <v>160.7643435144002</v>
      </c>
      <c r="R43" s="49"/>
      <c r="S43" s="49"/>
      <c r="T43" s="49">
        <f t="shared" si="16"/>
        <v>160.28549009306707</v>
      </c>
      <c r="U43" s="49">
        <f t="shared" si="16"/>
        <v>137.53987730824159</v>
      </c>
      <c r="V43" s="49">
        <f t="shared" si="16"/>
        <v>145.71408190278825</v>
      </c>
      <c r="W43" s="49">
        <f t="shared" si="16"/>
        <v>145.71408190278825</v>
      </c>
      <c r="X43" s="49">
        <f t="shared" si="16"/>
        <v>152.82208589804623</v>
      </c>
    </row>
    <row r="44" spans="2:24" ht="15">
      <c r="B44" s="37" t="s">
        <v>18</v>
      </c>
      <c r="C44" s="49">
        <f t="shared" si="15"/>
        <v>149.48270703914167</v>
      </c>
      <c r="D44" s="49">
        <f t="shared" si="16"/>
        <v>166.09189671015747</v>
      </c>
      <c r="E44" s="49">
        <f t="shared" si="16"/>
        <v>174.19394045211638</v>
      </c>
      <c r="F44" s="49">
        <f t="shared" si="16"/>
        <v>174.19394045211638</v>
      </c>
      <c r="G44" s="49"/>
      <c r="H44" s="49">
        <f t="shared" si="16"/>
        <v>199.0415681606859</v>
      </c>
      <c r="I44" s="49">
        <f t="shared" si="16"/>
        <v>199.0415681606859</v>
      </c>
      <c r="J44" s="49">
        <f t="shared" si="16"/>
        <v>176.7388131659368</v>
      </c>
      <c r="K44" s="49"/>
      <c r="L44" s="49">
        <f t="shared" si="16"/>
        <v>166.09189671015747</v>
      </c>
      <c r="M44" s="49">
        <f t="shared" si="16"/>
        <v>174.19394045211638</v>
      </c>
      <c r="N44" s="49">
        <f t="shared" si="16"/>
        <v>174.19394045211638</v>
      </c>
      <c r="O44" s="49">
        <f>$B$39/O10*3.6/$E$17*100*$C$39</f>
        <v>232.11342565244507</v>
      </c>
      <c r="P44" s="49">
        <f>$B$39/P10*3.6/$E$17*100*$C$39</f>
        <v>201.43965934334483</v>
      </c>
      <c r="Q44" s="49">
        <f>$B$39/Q10*3.6/$E$17*100*$C$39</f>
        <v>201.43965934334483</v>
      </c>
      <c r="R44" s="49"/>
      <c r="S44" s="49"/>
      <c r="T44" s="49">
        <f t="shared" si="16"/>
        <v>194.40491797475113</v>
      </c>
      <c r="U44" s="49">
        <f t="shared" si="16"/>
        <v>166.81752384973103</v>
      </c>
      <c r="V44" s="49">
        <f t="shared" si="16"/>
        <v>176.73174361341015</v>
      </c>
      <c r="W44" s="49">
        <f t="shared" si="16"/>
        <v>176.73174361341015</v>
      </c>
      <c r="X44" s="49">
        <f t="shared" si="16"/>
        <v>185.35280427747898</v>
      </c>
    </row>
    <row r="45" spans="2:24" ht="15">
      <c r="B45" s="37" t="s">
        <v>19</v>
      </c>
      <c r="C45" s="49">
        <f t="shared" si="15"/>
        <v>47.536646299803685</v>
      </c>
      <c r="D45" s="49">
        <f t="shared" si="16"/>
        <v>52.81849588867077</v>
      </c>
      <c r="E45" s="49">
        <f t="shared" si="16"/>
        <v>55.39500788324008</v>
      </c>
      <c r="F45" s="49">
        <f t="shared" si="16"/>
        <v>55.39500788324008</v>
      </c>
      <c r="G45" s="49"/>
      <c r="H45" s="49">
        <f t="shared" si="16"/>
        <v>51.750807721778344</v>
      </c>
      <c r="I45" s="49">
        <f t="shared" si="16"/>
        <v>51.750807721778344</v>
      </c>
      <c r="J45" s="49">
        <f t="shared" si="16"/>
        <v>45.952091423143564</v>
      </c>
      <c r="K45" s="49"/>
      <c r="L45" s="49">
        <f t="shared" si="16"/>
        <v>52.61689857611857</v>
      </c>
      <c r="M45" s="49">
        <f t="shared" si="16"/>
        <v>55.18357655544145</v>
      </c>
      <c r="N45" s="49">
        <f t="shared" si="16"/>
        <v>55.18357655544145</v>
      </c>
      <c r="O45" s="49">
        <f>$B$39/O11*3.6/$E$17*100*$C$39</f>
        <v>73.53211576012572</v>
      </c>
      <c r="P45" s="49">
        <f>$B$39/P11*3.6/$E$17*100*$C$39</f>
        <v>63.81485391411305</v>
      </c>
      <c r="Q45" s="49">
        <f>$B$39/Q11*3.6/$E$17*100*$C$39</f>
        <v>63.81485391411305</v>
      </c>
      <c r="R45" s="49"/>
      <c r="S45" s="49"/>
      <c r="T45" s="49">
        <f t="shared" si="16"/>
        <v>50.54679509245227</v>
      </c>
      <c r="U45" s="49">
        <f t="shared" si="16"/>
        <v>43.37385742966525</v>
      </c>
      <c r="V45" s="49">
        <f t="shared" si="16"/>
        <v>45.95163190222933</v>
      </c>
      <c r="W45" s="49">
        <f t="shared" si="16"/>
        <v>45.95163190222933</v>
      </c>
      <c r="X45" s="49">
        <f t="shared" si="16"/>
        <v>48.193174921850286</v>
      </c>
    </row>
  </sheetData>
  <mergeCells count="11">
    <mergeCell ref="O1:X1"/>
    <mergeCell ref="O2:X2"/>
    <mergeCell ref="K3:K5"/>
    <mergeCell ref="K1:N1"/>
    <mergeCell ref="K2:N2"/>
    <mergeCell ref="B1:J1"/>
    <mergeCell ref="B2:F2"/>
    <mergeCell ref="G2:J2"/>
    <mergeCell ref="A4:A5"/>
    <mergeCell ref="B3:B5"/>
    <mergeCell ref="G3:G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"/>
  <sheetViews>
    <sheetView workbookViewId="0" topLeftCell="A1">
      <selection activeCell="A1" sqref="A1"/>
    </sheetView>
  </sheetViews>
  <sheetFormatPr defaultColWidth="11.421875" defaultRowHeight="12.75"/>
  <cols>
    <col min="5" max="5" width="14.140625" style="0" customWidth="1"/>
    <col min="6" max="6" width="15.57421875" style="0" customWidth="1"/>
  </cols>
  <sheetData>
    <row r="2" spans="2:8" ht="12.75">
      <c r="B2" t="s">
        <v>26</v>
      </c>
      <c r="C2" t="s">
        <v>27</v>
      </c>
      <c r="D2" t="s">
        <v>28</v>
      </c>
      <c r="E2" t="s">
        <v>29</v>
      </c>
      <c r="F2" t="s">
        <v>30</v>
      </c>
      <c r="H2" t="s">
        <v>31</v>
      </c>
    </row>
    <row r="3" spans="2:8" ht="12.75">
      <c r="B3">
        <v>195</v>
      </c>
      <c r="C3">
        <v>60</v>
      </c>
      <c r="D3">
        <v>15</v>
      </c>
      <c r="E3">
        <f>((D3*25.4)+(2*(B3/100*C3)))*PI()</f>
        <v>1932.0794819577227</v>
      </c>
      <c r="F3">
        <f>E3*(100-2.5)/100</f>
        <v>1883.7774949087795</v>
      </c>
      <c r="H3">
        <f>1000/(F3/1000)*6</f>
        <v>3185.0895428021586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1.421875" defaultRowHeight="12.75"/>
  <cols>
    <col min="3" max="3" width="17.421875" style="0" customWidth="1"/>
    <col min="4" max="4" width="14.7109375" style="0" customWidth="1"/>
    <col min="7" max="7" width="15.421875" style="0" customWidth="1"/>
  </cols>
  <sheetData>
    <row r="1" spans="1:7" ht="15.75" thickBot="1">
      <c r="A1" s="29"/>
      <c r="B1" s="29"/>
      <c r="C1" s="29"/>
      <c r="D1" s="29"/>
      <c r="E1" s="29"/>
      <c r="F1" s="29"/>
      <c r="G1" s="29"/>
    </row>
    <row r="2" spans="1:7" ht="16.5" thickBot="1">
      <c r="A2" s="38" t="s">
        <v>41</v>
      </c>
      <c r="B2" s="39" t="s">
        <v>42</v>
      </c>
      <c r="C2" s="39" t="s">
        <v>43</v>
      </c>
      <c r="D2" s="39" t="s">
        <v>44</v>
      </c>
      <c r="E2" s="39" t="s">
        <v>45</v>
      </c>
      <c r="F2" s="39" t="s">
        <v>46</v>
      </c>
      <c r="G2" s="40" t="s">
        <v>47</v>
      </c>
    </row>
    <row r="3" spans="1:7" ht="15">
      <c r="A3" s="29"/>
      <c r="B3" s="29"/>
      <c r="C3" s="29"/>
      <c r="D3" s="29"/>
      <c r="E3" s="29"/>
      <c r="F3" s="29"/>
      <c r="G3" s="29"/>
    </row>
    <row r="4" spans="1:7" ht="15">
      <c r="A4" s="41" t="s">
        <v>48</v>
      </c>
      <c r="B4" s="42" t="s">
        <v>49</v>
      </c>
      <c r="C4" s="42" t="s">
        <v>50</v>
      </c>
      <c r="D4" s="42">
        <v>60</v>
      </c>
      <c r="E4" s="42">
        <v>8.8</v>
      </c>
      <c r="F4" s="42">
        <v>4</v>
      </c>
      <c r="G4" s="43" t="s">
        <v>51</v>
      </c>
    </row>
    <row r="5" spans="1:7" ht="15">
      <c r="A5" s="44"/>
      <c r="B5" s="10"/>
      <c r="C5" s="10"/>
      <c r="D5" s="10"/>
      <c r="E5" s="10"/>
      <c r="F5" s="10"/>
      <c r="G5" s="45"/>
    </row>
    <row r="6" spans="1:7" ht="15">
      <c r="A6" s="44" t="s">
        <v>52</v>
      </c>
      <c r="B6" s="10" t="s">
        <v>49</v>
      </c>
      <c r="C6" s="10" t="s">
        <v>53</v>
      </c>
      <c r="D6" s="10">
        <v>90</v>
      </c>
      <c r="E6" s="10">
        <v>8.8</v>
      </c>
      <c r="F6" s="10">
        <v>1</v>
      </c>
      <c r="G6" s="45" t="s">
        <v>54</v>
      </c>
    </row>
    <row r="7" spans="1:7" ht="15">
      <c r="A7" s="44"/>
      <c r="B7" s="10" t="s">
        <v>49</v>
      </c>
      <c r="C7" s="10" t="s">
        <v>55</v>
      </c>
      <c r="D7" s="10">
        <v>90</v>
      </c>
      <c r="E7" s="10">
        <v>10.8</v>
      </c>
      <c r="F7" s="10">
        <v>3</v>
      </c>
      <c r="G7" s="45" t="s">
        <v>51</v>
      </c>
    </row>
    <row r="8" spans="1:7" ht="15">
      <c r="A8" s="44"/>
      <c r="B8" s="10"/>
      <c r="C8" s="10"/>
      <c r="D8" s="10"/>
      <c r="E8" s="10"/>
      <c r="F8" s="10"/>
      <c r="G8" s="45"/>
    </row>
    <row r="9" spans="1:7" ht="15">
      <c r="A9" s="44" t="s">
        <v>56</v>
      </c>
      <c r="B9" s="10" t="s">
        <v>49</v>
      </c>
      <c r="C9" s="10" t="s">
        <v>57</v>
      </c>
      <c r="D9" s="10">
        <v>70</v>
      </c>
      <c r="E9" s="10">
        <v>8.8</v>
      </c>
      <c r="F9" s="10"/>
      <c r="G9" s="45" t="s">
        <v>51</v>
      </c>
    </row>
    <row r="10" spans="1:7" ht="15">
      <c r="A10" s="44"/>
      <c r="B10" s="10" t="s">
        <v>49</v>
      </c>
      <c r="C10" s="10" t="s">
        <v>57</v>
      </c>
      <c r="D10" s="10">
        <v>80</v>
      </c>
      <c r="E10" s="10">
        <v>8.8</v>
      </c>
      <c r="F10" s="10"/>
      <c r="G10" s="45" t="s">
        <v>51</v>
      </c>
    </row>
    <row r="11" spans="1:7" ht="15">
      <c r="A11" s="44"/>
      <c r="B11" s="10" t="s">
        <v>49</v>
      </c>
      <c r="C11" s="10" t="s">
        <v>57</v>
      </c>
      <c r="D11" s="10">
        <v>90</v>
      </c>
      <c r="E11" s="10">
        <v>8.8</v>
      </c>
      <c r="F11" s="10"/>
      <c r="G11" s="45" t="s">
        <v>51</v>
      </c>
    </row>
    <row r="12" spans="1:7" ht="15">
      <c r="A12" s="44"/>
      <c r="B12" s="10"/>
      <c r="C12" s="10"/>
      <c r="D12" s="10"/>
      <c r="E12" s="10"/>
      <c r="F12" s="10"/>
      <c r="G12" s="45"/>
    </row>
    <row r="13" spans="1:7" ht="15">
      <c r="A13" s="44" t="s">
        <v>58</v>
      </c>
      <c r="B13" s="10" t="s">
        <v>59</v>
      </c>
      <c r="C13" s="10" t="s">
        <v>57</v>
      </c>
      <c r="D13" s="10">
        <v>25</v>
      </c>
      <c r="E13" s="10">
        <v>8.8</v>
      </c>
      <c r="F13" s="10">
        <v>12</v>
      </c>
      <c r="G13" s="45" t="s">
        <v>51</v>
      </c>
    </row>
    <row r="14" spans="1:7" ht="15">
      <c r="A14" s="44"/>
      <c r="B14" s="10"/>
      <c r="C14" s="10"/>
      <c r="D14" s="10"/>
      <c r="E14" s="10"/>
      <c r="F14" s="10"/>
      <c r="G14" s="45"/>
    </row>
    <row r="15" spans="1:7" ht="15">
      <c r="A15" s="44" t="s">
        <v>60</v>
      </c>
      <c r="B15" s="10" t="s">
        <v>49</v>
      </c>
      <c r="C15" s="10" t="s">
        <v>57</v>
      </c>
      <c r="D15" s="10">
        <v>70</v>
      </c>
      <c r="E15" s="10">
        <v>8.8</v>
      </c>
      <c r="F15" s="10">
        <v>2</v>
      </c>
      <c r="G15" s="45" t="s">
        <v>51</v>
      </c>
    </row>
    <row r="16" spans="1:7" ht="15">
      <c r="A16" s="44"/>
      <c r="B16" s="10"/>
      <c r="C16" s="10"/>
      <c r="D16" s="10"/>
      <c r="E16" s="10"/>
      <c r="F16" s="10"/>
      <c r="G16" s="45"/>
    </row>
    <row r="17" spans="1:7" ht="15">
      <c r="A17" s="44" t="s">
        <v>61</v>
      </c>
      <c r="B17" s="10" t="s">
        <v>49</v>
      </c>
      <c r="C17" s="10" t="s">
        <v>57</v>
      </c>
      <c r="D17" s="10">
        <v>20</v>
      </c>
      <c r="E17" s="10">
        <v>8.8</v>
      </c>
      <c r="F17" s="10">
        <v>4</v>
      </c>
      <c r="G17" s="45" t="s">
        <v>51</v>
      </c>
    </row>
    <row r="18" spans="1:7" ht="15">
      <c r="A18" s="44"/>
      <c r="B18" s="10"/>
      <c r="C18" s="10"/>
      <c r="D18" s="10"/>
      <c r="E18" s="10"/>
      <c r="F18" s="10"/>
      <c r="G18" s="45"/>
    </row>
    <row r="19" spans="1:7" ht="15">
      <c r="A19" s="44" t="s">
        <v>62</v>
      </c>
      <c r="B19" s="10" t="s">
        <v>49</v>
      </c>
      <c r="C19" s="10" t="s">
        <v>50</v>
      </c>
      <c r="D19" s="10">
        <v>25</v>
      </c>
      <c r="E19" s="10">
        <v>8.8</v>
      </c>
      <c r="F19" s="10">
        <v>2</v>
      </c>
      <c r="G19" s="45" t="s">
        <v>51</v>
      </c>
    </row>
    <row r="20" spans="1:7" ht="15">
      <c r="A20" s="44"/>
      <c r="B20" s="10"/>
      <c r="C20" s="10"/>
      <c r="D20" s="10"/>
      <c r="E20" s="10"/>
      <c r="F20" s="10"/>
      <c r="G20" s="45"/>
    </row>
    <row r="21" spans="1:7" ht="15">
      <c r="A21" s="44" t="s">
        <v>63</v>
      </c>
      <c r="B21" s="10" t="s">
        <v>49</v>
      </c>
      <c r="C21" s="10" t="s">
        <v>53</v>
      </c>
      <c r="D21" s="10">
        <v>90</v>
      </c>
      <c r="E21" s="10">
        <v>10.8</v>
      </c>
      <c r="F21" s="10">
        <v>3</v>
      </c>
      <c r="G21" s="45" t="s">
        <v>54</v>
      </c>
    </row>
    <row r="22" spans="1:7" ht="15">
      <c r="A22" s="46"/>
      <c r="B22" s="47" t="s">
        <v>49</v>
      </c>
      <c r="C22" s="47" t="s">
        <v>55</v>
      </c>
      <c r="D22" s="47">
        <v>90</v>
      </c>
      <c r="E22" s="47">
        <v>10.8</v>
      </c>
      <c r="F22" s="47">
        <v>3</v>
      </c>
      <c r="G22" s="48" t="s">
        <v>51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A1" sqref="A1"/>
    </sheetView>
  </sheetViews>
  <sheetFormatPr defaultColWidth="11.421875" defaultRowHeight="12.75"/>
  <sheetData>
    <row r="1" spans="1:4" ht="12.75">
      <c r="A1" t="s">
        <v>34</v>
      </c>
      <c r="B1" t="s">
        <v>35</v>
      </c>
      <c r="C1" t="s">
        <v>36</v>
      </c>
      <c r="D1" t="s">
        <v>37</v>
      </c>
    </row>
    <row r="2" spans="1:4" ht="12.75">
      <c r="A2" t="s">
        <v>38</v>
      </c>
      <c r="B2">
        <v>36</v>
      </c>
      <c r="C2">
        <v>56</v>
      </c>
      <c r="D2">
        <v>9</v>
      </c>
    </row>
    <row r="3" spans="1:4" ht="12.75">
      <c r="A3" t="s">
        <v>39</v>
      </c>
      <c r="B3">
        <v>18</v>
      </c>
      <c r="C3">
        <v>32</v>
      </c>
      <c r="D3">
        <v>8</v>
      </c>
    </row>
    <row r="4" spans="1:4" ht="12.75">
      <c r="A4" t="s">
        <v>40</v>
      </c>
      <c r="B4">
        <v>22</v>
      </c>
      <c r="C4">
        <v>38</v>
      </c>
      <c r="D4">
        <v>10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</dc:creator>
  <cp:keywords/>
  <dc:description/>
  <cp:lastModifiedBy>Laurent</cp:lastModifiedBy>
  <cp:lastPrinted>2005-12-24T11:52:18Z</cp:lastPrinted>
  <dcterms:created xsi:type="dcterms:W3CDTF">2005-12-24T08:12:47Z</dcterms:created>
  <dcterms:modified xsi:type="dcterms:W3CDTF">2006-06-23T02:38:18Z</dcterms:modified>
  <cp:category/>
  <cp:version/>
  <cp:contentType/>
  <cp:contentStatus/>
</cp:coreProperties>
</file>